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<sst xmlns="http://schemas.openxmlformats.org/spreadsheetml/2006/main" count="1110" uniqueCount="282">
  <si>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</si>
  <si>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</si>
  <si>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</si>
  <si>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</si>
  <si>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</si>
  <si>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</si>
  <si>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</si>
  <si>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</si>
  <si>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</si>
  <si>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</si>
  <si>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</si>
  <si>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</si>
  <si>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</si>
  <si>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</si>
  <si>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</si>
  <si>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</si>
  <si>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</si>
  <si>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</si>
  <si>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</si>
  <si>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</si>
  <si>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</si>
  <si>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</si>
  <si>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</si>
  <si>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</si>
  <si>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</si>
  <si>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</si>
  <si>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</si>
  <si>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</si>
  <si>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</si>
  <si>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</si>
  <si>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</si>
  <si>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</si>
  <si>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</si>
  <si>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</si>
  <si>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</si>
  <si>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</si>
  <si>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</si>
  <si>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</si>
  <si>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</si>
  <si>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</si>
  <si>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</si>
  <si>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</si>
  <si>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</si>
  <si>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</si>
  <si>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</si>
  <si>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</si>
  <si>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</si>
  <si>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</si>
  <si>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</si>
  <si>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</si>
  <si>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</si>
  <si>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</si>
  <si>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</si>
  <si>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</si>
  <si>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</si>
  <si>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</si>
  <si>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</si>
  <si>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</si>
  <si>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</si>
  <si>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</si>
  <si>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</si>
  <si>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</si>
  <si>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</si>
  <si>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</si>
  <si>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</si>
  <si>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</si>
  <si>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</si>
  <si>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</si>
  <si>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</si>
  <si>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</si>
  <si>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</si>
  <si>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</si>
  <si>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</si>
  <si>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</si>
  <si>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</si>
  <si>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</si>
  <si>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</si>
  <si>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</si>
  <si>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</si>
  <si>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</si>
  <si>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</si>
  <si>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</si>
  <si>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</si>
  <si>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</si>
  <si>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</si>
  <si>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</si>
  <si>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</si>
  <si>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</si>
  <si>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</si>
  <si>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</si>
  <si>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</si>
  <si>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</si>
  <si>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</si>
  <si>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</si>
  <si>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</si>
  <si>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</si>
  <si>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</si>
  <si>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</si>
  <si>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</si>
  <si>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</si>
  <si>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</si>
  <si>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</si>
  <si>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</si>
  <si>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</si>
  <si>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</si>
  <si>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</si>
  <si>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</si>
  <si>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</si>
  <si>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</si>
  <si>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</si>
  <si>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</si>
  <si>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</si>
  <si>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</si>
  <si>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</si>
  <si>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</si>
  <si>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</si>
  <si>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</si>
  <si>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</si>
  <si>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</si>
  <si>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</si>
  <si>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</si>
  <si>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</si>
  <si>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</si>
  <si>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</si>
  <si>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</si>
  <si>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</si>
  <si>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</si>
  <si>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</si>
  <si>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</si>
  <si>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</si>
  <si>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</si>
  <si>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</si>
  <si>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</si>
  <si>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</si>
  <si>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</si>
  <si>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</si>
  <si>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</si>
  <si>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</si>
  <si>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</si>
  <si>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</si>
  <si>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</si>
  <si>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</si>
  <si>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</si>
  <si>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</si>
  <si>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</si>
  <si>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</si>
  <si>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</si>
  <si>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</si>
  <si>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</si>
  <si>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</si>
  <si>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</si>
  <si>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</si>
  <si>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</si>
  <si>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</si>
  <si>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</si>
  <si>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</si>
  <si>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</si>
  <si>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</si>
  <si>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</si>
  <si>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</si>
  <si>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</si>
  <si>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</si>
  <si>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</si>
  <si>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</si>
  <si>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</si>
  <si>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</si>
  <si>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</si>
  <si>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</si>
  <si>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</si>
  <si>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</si>
  <si>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</si>
  <si>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</si>
  <si>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</si>
  <si>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</si>
  <si>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</si>
  <si>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</si>
  <si>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</si>
  <si>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</si>
  <si>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</si>
  <si>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</si>
  <si>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</si>
  <si>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</si>
  <si>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</si>
  <si>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</si>
  <si>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</si>
  <si>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</si>
  <si>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</si>
  <si>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</si>
  <si>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</si>
  <si>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</si>
  <si>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</si>
  <si>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</si>
  <si>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</si>
  <si>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</si>
  <si>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</si>
  <si>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</si>
  <si>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</si>
  <si>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</si>
  <si>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</si>
  <si>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</si>
  <si>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</si>
  <si>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</si>
  <si>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</si>
  <si>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</si>
  <si>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</si>
  <si>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</si>
  <si>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</si>
  <si>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</si>
  <si>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</si>
  <si>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</si>
  <si>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</si>
  <si>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</si>
  <si>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</si>
  <si>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</si>
  <si>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</si>
  <si>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</si>
  <si>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</si>
  <si>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</si>
  <si>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</si>
  <si>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</si>
  <si>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</si>
  <si>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</si>
  <si>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</si>
  <si>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</si>
  <si>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</si>
  <si>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</si>
  <si>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</si>
  <si>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</si>
  <si>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</si>
  <si>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</si>
  <si>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</si>
  <si>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</si>
  <si>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</si>
  <si>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</si>
  <si>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</si>
  <si>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</si>
  <si>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</si>
  <si>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</si>
  <si>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</si>
  <si>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</si>
  <si>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</si>
  <si>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</si>
  <si>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</si>
  <si>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</si>
  <si>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</si>
  <si>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</si>
  <si>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</si>
  <si>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</si>
  <si>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</si>
  <si>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</si>
  <si>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</si>
  <si>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</si>
  <si>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</si>
  <si>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</si>
  <si>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</si>
  <si>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</si>
  <si>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</si>
  <si>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</si>
  <si>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</si>
  <si>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</si>
  <si>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</si>
  <si>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</si>
  <si>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</si>
  <si>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</si>
  <si>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</si>
  <si>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</si>
  <si>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</si>
  <si>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</si>
  <si>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</si>
  <si>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</si>
  <si>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</si>
  <si>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</si>
  <si>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</si>
  <si>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</si>
  <si>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</si>
  <si>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План  на січень-червень</t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</si>
  <si>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</si>
  <si>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</si>
  <si>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</si>
  <si>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</si>
  <si>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10.06.2015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</si>
  <si>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09.06.15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</si>
</sst>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87" sqref="H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280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278</v>
      </c>
      <c r="N3" s="218" t="s">
        <v>279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275</v>
      </c>
      <c r="F4" s="223" t="s">
        <v>116</v>
      </c>
      <c r="G4" s="225" t="s">
        <v>276</v>
      </c>
      <c r="H4" s="227" t="s">
        <v>277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281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264509.89999999997</v>
      </c>
      <c r="F8" s="18">
        <f>F9+F15+F18+F19+F20+F32+F17</f>
        <v>265882.77</v>
      </c>
      <c r="G8" s="18">
        <f aca="true" t="shared" si="0" ref="G8:G54">F8-E8</f>
        <v>1372.8700000000536</v>
      </c>
      <c r="H8" s="45">
        <f>F8/E8*100</f>
        <v>100.51902405165178</v>
      </c>
      <c r="I8" s="31">
        <f aca="true" t="shared" si="1" ref="I8:I54">F8-D8</f>
        <v>-251546.22999999998</v>
      </c>
      <c r="J8" s="31">
        <f aca="true" t="shared" si="2" ref="J8:J14">F8/D8*100</f>
        <v>51.38536301598867</v>
      </c>
      <c r="K8" s="18">
        <f>K9+K15+K18+K19+K20+K32</f>
        <v>70233.85000000002</v>
      </c>
      <c r="L8" s="18"/>
      <c r="M8" s="18">
        <f>M9+M15+M18+M19+M20+M32+M17</f>
        <v>40984.19999999999</v>
      </c>
      <c r="N8" s="18">
        <f>N9+N15+N18+N19+N20+N32+N17</f>
        <v>13150.67000000002</v>
      </c>
      <c r="O8" s="31">
        <f aca="true" t="shared" si="3" ref="O8:O54">N8-M8</f>
        <v>-27833.52999999997</v>
      </c>
      <c r="P8" s="31">
        <f>F8/M8*100</f>
        <v>648.7445649786994</v>
      </c>
      <c r="Q8" s="31">
        <f>N8-33748.16</f>
        <v>-20597.489999999983</v>
      </c>
      <c r="R8" s="125">
        <f>N8/33748.16</f>
        <v>0.3896707257521601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155358.65</v>
      </c>
      <c r="F9" s="143">
        <v>149474.23</v>
      </c>
      <c r="G9" s="43">
        <f t="shared" si="0"/>
        <v>-5884.419999999984</v>
      </c>
      <c r="H9" s="35">
        <f aca="true" t="shared" si="4" ref="H9:H32">F9/E9*100</f>
        <v>96.21236410074367</v>
      </c>
      <c r="I9" s="50">
        <f t="shared" si="1"/>
        <v>-163215.77</v>
      </c>
      <c r="J9" s="50">
        <f t="shared" si="2"/>
        <v>47.80268956474464</v>
      </c>
      <c r="K9" s="132">
        <f>F9-148760.15/75*60</f>
        <v>30466.110000000015</v>
      </c>
      <c r="L9" s="132">
        <f>F9/(148760.15/75*60)*100</f>
        <v>125.60002628392081</v>
      </c>
      <c r="M9" s="35">
        <f>E9-травень!E9</f>
        <v>27546</v>
      </c>
      <c r="N9" s="35">
        <f>F9-травень!F9</f>
        <v>11391.73000000001</v>
      </c>
      <c r="O9" s="47">
        <f t="shared" si="3"/>
        <v>-16154.26999999999</v>
      </c>
      <c r="P9" s="50">
        <f aca="true" t="shared" si="5" ref="P9:P32">N9/M9*100</f>
        <v>41.355296594786935</v>
      </c>
      <c r="Q9" s="132">
        <f>N9-26568.11</f>
        <v>-15176.37999999999</v>
      </c>
      <c r="R9" s="133">
        <f>N9/26568.11</f>
        <v>0.4287745722221118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136694.25</v>
      </c>
      <c r="F10" s="144">
        <v>132483.75</v>
      </c>
      <c r="G10" s="135">
        <f t="shared" si="0"/>
        <v>-4210.5</v>
      </c>
      <c r="H10" s="137">
        <f t="shared" si="4"/>
        <v>96.91976802242962</v>
      </c>
      <c r="I10" s="136">
        <f t="shared" si="1"/>
        <v>-107926.25</v>
      </c>
      <c r="J10" s="136">
        <f t="shared" si="2"/>
        <v>55.10742065637869</v>
      </c>
      <c r="K10" s="138">
        <f>F10-134812.74/75*60</f>
        <v>24633.558000000005</v>
      </c>
      <c r="L10" s="138">
        <f>F10/(134812.74/75*60)*100</f>
        <v>122.840532356215</v>
      </c>
      <c r="M10" s="137">
        <f>E10-травень!E10</f>
        <v>24072</v>
      </c>
      <c r="N10" s="137">
        <f>F10-травень!F10</f>
        <v>10290.009999999995</v>
      </c>
      <c r="O10" s="138">
        <f t="shared" si="3"/>
        <v>-13781.990000000005</v>
      </c>
      <c r="P10" s="136">
        <f t="shared" si="5"/>
        <v>42.74680126287801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144">
        <v>7921.03</v>
      </c>
      <c r="G11" s="135">
        <f t="shared" si="0"/>
        <v>-2866.9700000000003</v>
      </c>
      <c r="H11" s="137">
        <f t="shared" si="4"/>
        <v>73.42445309603262</v>
      </c>
      <c r="I11" s="136">
        <f t="shared" si="1"/>
        <v>-15778.970000000001</v>
      </c>
      <c r="J11" s="136">
        <f t="shared" si="2"/>
        <v>33.42206751054852</v>
      </c>
      <c r="K11" s="138">
        <f>F11-9052.89/75*60</f>
        <v>678.7179999999998</v>
      </c>
      <c r="L11" s="138">
        <f>F11/(9052.89/75*60)*100</f>
        <v>109.37156532333874</v>
      </c>
      <c r="M11" s="137">
        <f>E11-травень!E11</f>
        <v>1830</v>
      </c>
      <c r="N11" s="137">
        <f>F11-травень!F11</f>
        <v>149.63999999999942</v>
      </c>
      <c r="O11" s="138">
        <f t="shared" si="3"/>
        <v>-1680.3600000000006</v>
      </c>
      <c r="P11" s="136">
        <f t="shared" si="5"/>
        <v>8.177049180327838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144">
        <v>2344.91</v>
      </c>
      <c r="G12" s="135">
        <f t="shared" si="0"/>
        <v>-154.09000000000015</v>
      </c>
      <c r="H12" s="137">
        <f t="shared" si="4"/>
        <v>93.83393357342936</v>
      </c>
      <c r="I12" s="136">
        <f t="shared" si="1"/>
        <v>-3455.09</v>
      </c>
      <c r="J12" s="136">
        <f t="shared" si="2"/>
        <v>40.429482758620686</v>
      </c>
      <c r="K12" s="138">
        <f>F12-2098.76/75*60</f>
        <v>665.9019999999998</v>
      </c>
      <c r="L12" s="138">
        <f>F12/(2098.76/75*60)*100</f>
        <v>139.660442356439</v>
      </c>
      <c r="M12" s="137">
        <f>E12-травень!E12</f>
        <v>330</v>
      </c>
      <c r="N12" s="137">
        <f>F12-травень!F12</f>
        <v>175.87999999999965</v>
      </c>
      <c r="O12" s="138">
        <f t="shared" si="3"/>
        <v>-154.12000000000035</v>
      </c>
      <c r="P12" s="136">
        <f t="shared" si="5"/>
        <v>53.29696969696959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144">
        <v>2439.55</v>
      </c>
      <c r="G13" s="135">
        <f t="shared" si="0"/>
        <v>-903.8499999999999</v>
      </c>
      <c r="H13" s="137">
        <f t="shared" si="4"/>
        <v>72.96614225040379</v>
      </c>
      <c r="I13" s="136">
        <f t="shared" si="1"/>
        <v>-5960.45</v>
      </c>
      <c r="J13" s="136">
        <f t="shared" si="2"/>
        <v>29.042261904761908</v>
      </c>
      <c r="K13" s="138">
        <f>F13-2795.76/75*60</f>
        <v>202.942</v>
      </c>
      <c r="L13" s="138">
        <f>F13/(2795.76/75*60)*100</f>
        <v>109.0736508140899</v>
      </c>
      <c r="M13" s="137">
        <f>E13-травень!E13</f>
        <v>924</v>
      </c>
      <c r="N13" s="137">
        <f>F13-травень!F13</f>
        <v>135.8800000000001</v>
      </c>
      <c r="O13" s="138">
        <f t="shared" si="3"/>
        <v>-788.1199999999999</v>
      </c>
      <c r="P13" s="136">
        <f t="shared" si="5"/>
        <v>14.705627705627716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144">
        <v>4284.99</v>
      </c>
      <c r="G14" s="135">
        <f t="shared" si="0"/>
        <v>2250.99</v>
      </c>
      <c r="H14" s="137">
        <f t="shared" si="4"/>
        <v>210.66814159292036</v>
      </c>
      <c r="I14" s="136">
        <f t="shared" si="1"/>
        <v>-95.01000000000022</v>
      </c>
      <c r="J14" s="136">
        <f t="shared" si="2"/>
        <v>97.83082191780822</v>
      </c>
      <c r="K14" s="138">
        <f>F14-0</f>
        <v>4284.99</v>
      </c>
      <c r="L14" s="138"/>
      <c r="M14" s="137">
        <f>E14-травень!E14</f>
        <v>390</v>
      </c>
      <c r="N14" s="137">
        <f>F14-травень!F14</f>
        <v>640.3299999999999</v>
      </c>
      <c r="O14" s="138">
        <f t="shared" si="3"/>
        <v>250.32999999999993</v>
      </c>
      <c r="P14" s="136">
        <f t="shared" si="5"/>
        <v>164.18717948717946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143">
        <v>-880.74</v>
      </c>
      <c r="G15" s="43">
        <f t="shared" si="0"/>
        <v>-1052.04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E15-травень!E15</f>
        <v>0.10000000000002274</v>
      </c>
      <c r="N15" s="35">
        <f>F15-травень!F15</f>
        <v>0</v>
      </c>
      <c r="O15" s="47">
        <f t="shared" si="3"/>
        <v>-0.10000000000002274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137">
        <f>E16-травень!E16</f>
        <v>0</v>
      </c>
      <c r="N16" s="137">
        <f>F16-травень!F16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18502.75</v>
      </c>
      <c r="F19" s="168">
        <v>23205.84</v>
      </c>
      <c r="G19" s="43">
        <f t="shared" si="0"/>
        <v>4703.09</v>
      </c>
      <c r="H19" s="35">
        <f t="shared" si="4"/>
        <v>125.41832970774615</v>
      </c>
      <c r="I19" s="50">
        <f t="shared" si="1"/>
        <v>-6744.16</v>
      </c>
      <c r="J19" s="178">
        <f>F19/D19*100</f>
        <v>77.4819365609349</v>
      </c>
      <c r="K19" s="179">
        <f>F19-0</f>
        <v>23205.84</v>
      </c>
      <c r="L19" s="180"/>
      <c r="M19" s="35">
        <f>E19-травень!E19</f>
        <v>2720</v>
      </c>
      <c r="N19" s="35">
        <f>F19-травень!F19</f>
        <v>65.36000000000058</v>
      </c>
      <c r="O19" s="47">
        <f t="shared" si="3"/>
        <v>-2654.6399999999994</v>
      </c>
      <c r="P19" s="50">
        <f t="shared" si="5"/>
        <v>2.40294117647061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86469.4</v>
      </c>
      <c r="F20" s="169">
        <f>F21+F25+F27+F26</f>
        <v>90046.86</v>
      </c>
      <c r="G20" s="43">
        <f t="shared" si="0"/>
        <v>3577.4600000000064</v>
      </c>
      <c r="H20" s="35">
        <f t="shared" si="4"/>
        <v>104.13725549153806</v>
      </c>
      <c r="I20" s="50">
        <f t="shared" si="1"/>
        <v>-76723.14</v>
      </c>
      <c r="J20" s="178">
        <f aca="true" t="shared" si="6" ref="J20:J46">F20/D20*100</f>
        <v>53.99463932361935</v>
      </c>
      <c r="K20" s="178">
        <f>K21+K25+K26+K27</f>
        <v>19347.3</v>
      </c>
      <c r="L20" s="136"/>
      <c r="M20" s="35">
        <f>E20-травень!E20</f>
        <v>10717.799999999988</v>
      </c>
      <c r="N20" s="35">
        <f>F20-травень!F20</f>
        <v>1693.5100000000093</v>
      </c>
      <c r="O20" s="47">
        <f t="shared" si="3"/>
        <v>-9024.289999999979</v>
      </c>
      <c r="P20" s="50">
        <f t="shared" si="5"/>
        <v>15.800910634645273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48277.2</v>
      </c>
      <c r="F21" s="169">
        <f>F22+F23+F24</f>
        <v>46451.72</v>
      </c>
      <c r="G21" s="43">
        <f t="shared" si="0"/>
        <v>-1825.479999999996</v>
      </c>
      <c r="H21" s="35">
        <f t="shared" si="4"/>
        <v>96.21875336597815</v>
      </c>
      <c r="I21" s="50">
        <f t="shared" si="1"/>
        <v>-51748.28</v>
      </c>
      <c r="J21" s="178">
        <f t="shared" si="6"/>
        <v>47.30317718940937</v>
      </c>
      <c r="K21" s="178">
        <f>K22+K23+K24</f>
        <v>13617.460000000003</v>
      </c>
      <c r="L21" s="136"/>
      <c r="M21" s="35">
        <f>E21-травень!E21</f>
        <v>8363.099999999999</v>
      </c>
      <c r="N21" s="35">
        <f>F21-травень!F21</f>
        <v>660.3699999999953</v>
      </c>
      <c r="O21" s="47">
        <f t="shared" si="3"/>
        <v>-7702.730000000003</v>
      </c>
      <c r="P21" s="50">
        <f t="shared" si="5"/>
        <v>7.89623464983075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286.2</v>
      </c>
      <c r="F22" s="144">
        <v>4469.87</v>
      </c>
      <c r="G22" s="135">
        <f t="shared" si="0"/>
        <v>4183.67</v>
      </c>
      <c r="H22" s="137">
        <f t="shared" si="4"/>
        <v>1561.7994409503845</v>
      </c>
      <c r="I22" s="136">
        <f t="shared" si="1"/>
        <v>3469.87</v>
      </c>
      <c r="J22" s="136">
        <f t="shared" si="6"/>
        <v>446.987</v>
      </c>
      <c r="K22" s="136">
        <f>F22-129.75</f>
        <v>4340.12</v>
      </c>
      <c r="L22" s="136">
        <f>F22/129.75*100</f>
        <v>3444.986512524085</v>
      </c>
      <c r="M22" s="137">
        <f>E22-травень!E22</f>
        <v>10.099999999999966</v>
      </c>
      <c r="N22" s="137">
        <f>F22-травень!F22</f>
        <v>30.409999999999854</v>
      </c>
      <c r="O22" s="138">
        <f t="shared" si="3"/>
        <v>20.30999999999989</v>
      </c>
      <c r="P22" s="136">
        <f t="shared" si="5"/>
        <v>301.0891089108907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179.34</v>
      </c>
      <c r="G23" s="135">
        <f t="shared" si="0"/>
        <v>-70.66</v>
      </c>
      <c r="H23" s="137"/>
      <c r="I23" s="136">
        <f t="shared" si="1"/>
        <v>-1320.66</v>
      </c>
      <c r="J23" s="136">
        <f t="shared" si="6"/>
        <v>11.956</v>
      </c>
      <c r="K23" s="136">
        <f>F23-0</f>
        <v>179.34</v>
      </c>
      <c r="L23" s="136"/>
      <c r="M23" s="137">
        <f>E23-травень!E23</f>
        <v>0</v>
      </c>
      <c r="N23" s="137">
        <f>F23-травень!F23</f>
        <v>6.25</v>
      </c>
      <c r="O23" s="138">
        <f t="shared" si="3"/>
        <v>6.25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144">
        <v>41802.51</v>
      </c>
      <c r="G24" s="135">
        <f t="shared" si="0"/>
        <v>-5938.489999999998</v>
      </c>
      <c r="H24" s="137">
        <f t="shared" si="4"/>
        <v>87.56102720931695</v>
      </c>
      <c r="I24" s="136">
        <f t="shared" si="1"/>
        <v>-53897.49</v>
      </c>
      <c r="J24" s="136">
        <f t="shared" si="6"/>
        <v>43.68078369905956</v>
      </c>
      <c r="K24" s="139">
        <f>F24-32704.51</f>
        <v>9098.000000000004</v>
      </c>
      <c r="L24" s="139">
        <f>F24/32704.51*100</f>
        <v>127.81879318785086</v>
      </c>
      <c r="M24" s="137">
        <f>E24-травень!E24</f>
        <v>8353</v>
      </c>
      <c r="N24" s="137">
        <f>F24-травень!F24</f>
        <v>623.7099999999991</v>
      </c>
      <c r="O24" s="138">
        <f t="shared" si="3"/>
        <v>-7729.290000000001</v>
      </c>
      <c r="P24" s="136">
        <f t="shared" si="5"/>
        <v>7.466898120435761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168">
        <v>33.2</v>
      </c>
      <c r="G25" s="43">
        <f t="shared" si="0"/>
        <v>11.000000000000004</v>
      </c>
      <c r="H25" s="35">
        <f t="shared" si="4"/>
        <v>149.54954954954957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E25-травень!E25</f>
        <v>4.699999999999999</v>
      </c>
      <c r="N25" s="35">
        <f>F25-травень!F25</f>
        <v>0</v>
      </c>
      <c r="O25" s="47">
        <f t="shared" si="3"/>
        <v>-4.699999999999999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-265.51</v>
      </c>
      <c r="G26" s="43">
        <f t="shared" si="0"/>
        <v>-265.51</v>
      </c>
      <c r="H26" s="35"/>
      <c r="I26" s="50">
        <f t="shared" si="1"/>
        <v>-265.51</v>
      </c>
      <c r="J26" s="136"/>
      <c r="K26" s="178">
        <f>F26-2664.98</f>
        <v>-2930.49</v>
      </c>
      <c r="L26" s="178">
        <f>F26/2664.98*100</f>
        <v>-9.962926551043534</v>
      </c>
      <c r="M26" s="35">
        <f>E26-травень!E26</f>
        <v>0</v>
      </c>
      <c r="N26" s="35">
        <f>F26-травень!F26</f>
        <v>-60.01999999999998</v>
      </c>
      <c r="O26" s="47">
        <f t="shared" si="3"/>
        <v>-60.01999999999998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38170</v>
      </c>
      <c r="F27" s="168">
        <v>43827.45</v>
      </c>
      <c r="G27" s="43">
        <f t="shared" si="0"/>
        <v>5657.449999999997</v>
      </c>
      <c r="H27" s="35">
        <f t="shared" si="4"/>
        <v>114.82171862719413</v>
      </c>
      <c r="I27" s="50">
        <f t="shared" si="1"/>
        <v>-24672.550000000003</v>
      </c>
      <c r="J27" s="178">
        <f t="shared" si="6"/>
        <v>63.981678832116785</v>
      </c>
      <c r="K27" s="132">
        <f>F27-35174.22</f>
        <v>8653.229999999996</v>
      </c>
      <c r="L27" s="132">
        <f>F27/35174.22*100</f>
        <v>124.60105725158937</v>
      </c>
      <c r="M27" s="35">
        <f>E27-травень!E27</f>
        <v>2350</v>
      </c>
      <c r="N27" s="35">
        <f>F27-травень!F27</f>
        <v>1093.1599999999962</v>
      </c>
      <c r="O27" s="47">
        <f t="shared" si="3"/>
        <v>-1256.8400000000038</v>
      </c>
      <c r="P27" s="50">
        <f t="shared" si="5"/>
        <v>46.51744680851048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9740</v>
      </c>
      <c r="F29" s="144">
        <v>11030.85</v>
      </c>
      <c r="G29" s="135">
        <f t="shared" si="0"/>
        <v>1290.8500000000004</v>
      </c>
      <c r="H29" s="137">
        <f t="shared" si="4"/>
        <v>113.25308008213553</v>
      </c>
      <c r="I29" s="136">
        <f t="shared" si="1"/>
        <v>-5469.15</v>
      </c>
      <c r="J29" s="136">
        <f t="shared" si="6"/>
        <v>66.85363636363637</v>
      </c>
      <c r="K29" s="139">
        <f>F29-9886.89</f>
        <v>1143.960000000001</v>
      </c>
      <c r="L29" s="139">
        <f>F29/9886.89*100</f>
        <v>111.57047362719723</v>
      </c>
      <c r="M29" s="137">
        <f>E29-травень!E29</f>
        <v>600</v>
      </c>
      <c r="N29" s="137">
        <f>F29-травень!F29</f>
        <v>205.39999999999964</v>
      </c>
      <c r="O29" s="138">
        <f t="shared" si="3"/>
        <v>-394.60000000000036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28430</v>
      </c>
      <c r="F30" s="144">
        <v>32790.83</v>
      </c>
      <c r="G30" s="135">
        <f t="shared" si="0"/>
        <v>4360.830000000002</v>
      </c>
      <c r="H30" s="137">
        <f t="shared" si="4"/>
        <v>115.33883221948646</v>
      </c>
      <c r="I30" s="136">
        <f t="shared" si="1"/>
        <v>-19209.17</v>
      </c>
      <c r="J30" s="136">
        <f t="shared" si="6"/>
        <v>63.059288461538465</v>
      </c>
      <c r="K30" s="139">
        <f>F30-25287.05</f>
        <v>7503.7800000000025</v>
      </c>
      <c r="L30" s="139">
        <f>F30/25287.05*100</f>
        <v>129.67439855578252</v>
      </c>
      <c r="M30" s="137">
        <f>E30-травень!E30</f>
        <v>1750</v>
      </c>
      <c r="N30" s="137">
        <f>F30-травень!F30</f>
        <v>887.75</v>
      </c>
      <c r="O30" s="138">
        <f t="shared" si="3"/>
        <v>-862.25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E31-травень!E31</f>
        <v>0</v>
      </c>
      <c r="N31" s="137">
        <f>F31-травень!F31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168">
        <v>4020.69</v>
      </c>
      <c r="G32" s="43">
        <f t="shared" si="0"/>
        <v>25.889999999999873</v>
      </c>
      <c r="H32" s="35">
        <f t="shared" si="4"/>
        <v>100.64809252027635</v>
      </c>
      <c r="I32" s="50">
        <f t="shared" si="1"/>
        <v>-3479.31</v>
      </c>
      <c r="J32" s="178">
        <f t="shared" si="6"/>
        <v>53.6092</v>
      </c>
      <c r="K32" s="178">
        <f>F32-5292.86</f>
        <v>-1272.1699999999996</v>
      </c>
      <c r="L32" s="178">
        <f>F32/2618.43*100</f>
        <v>153.5534652444404</v>
      </c>
      <c r="M32" s="35">
        <f>E32-травень!E32</f>
        <v>0.3000000000001819</v>
      </c>
      <c r="N32" s="35">
        <f>F32-травень!F32</f>
        <v>0.07000000000016371</v>
      </c>
      <c r="O32" s="47">
        <f t="shared" si="3"/>
        <v>-0.2300000000000182</v>
      </c>
      <c r="P32" s="50">
        <f t="shared" si="5"/>
        <v>23.333333333373755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18">
        <f>F34+F35+F36+F37+F38+F41+F42+F47+F48+F52+F40+F39</f>
        <v>14473.5</v>
      </c>
      <c r="G33" s="44">
        <f t="shared" si="0"/>
        <v>8356</v>
      </c>
      <c r="H33" s="45">
        <f>F33/E33*100</f>
        <v>236.59174499387007</v>
      </c>
      <c r="I33" s="31">
        <f t="shared" si="1"/>
        <v>1906.3999999999996</v>
      </c>
      <c r="J33" s="31">
        <f t="shared" si="6"/>
        <v>115.16976868171653</v>
      </c>
      <c r="K33" s="18">
        <f>K34+K35+K36+K37+K38+K41+K42+K47+K48+K52+K40</f>
        <v>9122.71</v>
      </c>
      <c r="L33" s="18"/>
      <c r="M33" s="18">
        <f>M34+M35+M36+M37+M38+M41+M42+M47+M48+M52+M40+M39</f>
        <v>954.5</v>
      </c>
      <c r="N33" s="18">
        <f>N34+N35+N36+N37+N38+N41+N42+N47+N48+N52+N40+N39</f>
        <v>1477.9700000000005</v>
      </c>
      <c r="O33" s="49">
        <f t="shared" si="3"/>
        <v>523.4700000000005</v>
      </c>
      <c r="P33" s="31">
        <f>N33/M33*100</f>
        <v>154.84232582503935</v>
      </c>
      <c r="Q33" s="31">
        <f>N33-1017.63</f>
        <v>460.3400000000005</v>
      </c>
      <c r="R33" s="127">
        <f>N33/1017.63</f>
        <v>1.452364808427425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143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118.2</v>
      </c>
      <c r="G36" s="43">
        <f t="shared" si="0"/>
        <v>118.2</v>
      </c>
      <c r="H36" s="35"/>
      <c r="I36" s="50">
        <f t="shared" si="1"/>
        <v>118.2</v>
      </c>
      <c r="J36" s="50"/>
      <c r="K36" s="50">
        <f>F36-214.58</f>
        <v>-96.38000000000001</v>
      </c>
      <c r="L36" s="50">
        <f>F36/214.58*100</f>
        <v>55.08435082486718</v>
      </c>
      <c r="M36" s="35">
        <f>E36-травень!E36</f>
        <v>0</v>
      </c>
      <c r="N36" s="35">
        <f>F36-травень!F36</f>
        <v>5.400000000000006</v>
      </c>
      <c r="O36" s="47">
        <f t="shared" si="3"/>
        <v>5.400000000000006</v>
      </c>
      <c r="P36" s="50"/>
      <c r="Q36" s="50">
        <f>N36-4.23</f>
        <v>1.1700000000000053</v>
      </c>
      <c r="R36" s="126">
        <f>N36/4.23</f>
        <v>1.2765957446808522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143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F37-5.08</f>
        <v>-5.08</v>
      </c>
      <c r="L37" s="50">
        <f>F37/5.08*100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143">
        <v>68.9</v>
      </c>
      <c r="G38" s="43">
        <f t="shared" si="0"/>
        <v>3.9000000000000057</v>
      </c>
      <c r="H38" s="35">
        <f>F38/E38*100</f>
        <v>106</v>
      </c>
      <c r="I38" s="50">
        <f t="shared" si="1"/>
        <v>-71.1</v>
      </c>
      <c r="J38" s="50">
        <f t="shared" si="6"/>
        <v>49.214285714285715</v>
      </c>
      <c r="K38" s="50">
        <f>F38-47.09</f>
        <v>21.810000000000002</v>
      </c>
      <c r="L38" s="50">
        <f>F38/47.09*100</f>
        <v>146.31556593756636</v>
      </c>
      <c r="M38" s="35">
        <f>E38-травень!E38</f>
        <v>14</v>
      </c>
      <c r="N38" s="35">
        <f>F38-травень!F38</f>
        <v>3.719999999999999</v>
      </c>
      <c r="O38" s="47">
        <f t="shared" si="3"/>
        <v>-10.280000000000001</v>
      </c>
      <c r="P38" s="50">
        <f>N38/M38*100</f>
        <v>26.571428571428562</v>
      </c>
      <c r="Q38" s="50">
        <f>N38-9.02</f>
        <v>-5.300000000000001</v>
      </c>
      <c r="R38" s="126">
        <f>N38/9.02</f>
        <v>0.41241685144124157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4356.33</v>
      </c>
      <c r="G40" s="43"/>
      <c r="H40" s="35"/>
      <c r="I40" s="50">
        <f t="shared" si="1"/>
        <v>4356.33</v>
      </c>
      <c r="J40" s="50"/>
      <c r="K40" s="50">
        <f>F40-0</f>
        <v>4356.33</v>
      </c>
      <c r="L40" s="50"/>
      <c r="M40" s="35">
        <f>E40-травень!E40</f>
        <v>0</v>
      </c>
      <c r="N40" s="35">
        <f>F40-травень!F40</f>
        <v>240.78999999999996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143">
        <v>4302.68</v>
      </c>
      <c r="G41" s="43">
        <f t="shared" si="0"/>
        <v>782.6800000000003</v>
      </c>
      <c r="H41" s="35">
        <f>F41/E41*100</f>
        <v>122.23522727272729</v>
      </c>
      <c r="I41" s="50">
        <f t="shared" si="1"/>
        <v>-2597.3199999999997</v>
      </c>
      <c r="J41" s="50">
        <f t="shared" si="6"/>
        <v>62.357681159420295</v>
      </c>
      <c r="K41" s="50">
        <f>F41-2962.16</f>
        <v>1340.5200000000004</v>
      </c>
      <c r="L41" s="50">
        <f>F41/2962.16*100</f>
        <v>145.2548140546088</v>
      </c>
      <c r="M41" s="35">
        <f>E41-травень!E41</f>
        <v>550</v>
      </c>
      <c r="N41" s="35">
        <f>F41-травень!F41</f>
        <v>899.5400000000004</v>
      </c>
      <c r="O41" s="47">
        <f t="shared" si="3"/>
        <v>349.5400000000004</v>
      </c>
      <c r="P41" s="50">
        <f>N41/M41*100</f>
        <v>163.55272727272734</v>
      </c>
      <c r="Q41" s="50">
        <f>N41-647.49</f>
        <v>252.0500000000004</v>
      </c>
      <c r="R41" s="126">
        <f>N41/647.49</f>
        <v>1.3892724211956948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143">
        <v>3537.73</v>
      </c>
      <c r="G42" s="43">
        <f t="shared" si="0"/>
        <v>3087.73</v>
      </c>
      <c r="H42" s="35">
        <f>F42/E42*100</f>
        <v>786.1622222222222</v>
      </c>
      <c r="I42" s="50">
        <f t="shared" si="1"/>
        <v>2437.73</v>
      </c>
      <c r="J42" s="50">
        <f t="shared" si="6"/>
        <v>321.6118181818182</v>
      </c>
      <c r="K42" s="50">
        <f>F42-350.98</f>
        <v>3186.75</v>
      </c>
      <c r="L42" s="50">
        <f>F42/350.98*100</f>
        <v>1007.9577183885121</v>
      </c>
      <c r="M42" s="35">
        <f>E42-травень!E42</f>
        <v>70</v>
      </c>
      <c r="N42" s="35">
        <f>F42-травень!F42</f>
        <v>169.1300000000001</v>
      </c>
      <c r="O42" s="47">
        <f t="shared" si="3"/>
        <v>99.13000000000011</v>
      </c>
      <c r="P42" s="50">
        <f>N42/M42*100</f>
        <v>241.61428571428587</v>
      </c>
      <c r="Q42" s="50">
        <f>N42-79.51</f>
        <v>89.6200000000001</v>
      </c>
      <c r="R42" s="126">
        <f>N42/79.51</f>
        <v>2.127153817129922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144">
        <v>420.44</v>
      </c>
      <c r="G43" s="135">
        <f t="shared" si="0"/>
        <v>30.439999999999998</v>
      </c>
      <c r="H43" s="137">
        <f>F43/E43*100</f>
        <v>107.8051282051282</v>
      </c>
      <c r="I43" s="136">
        <f t="shared" si="1"/>
        <v>-549.56</v>
      </c>
      <c r="J43" s="136">
        <f t="shared" si="6"/>
        <v>43.34432989690722</v>
      </c>
      <c r="K43" s="136">
        <f>F43-304.83</f>
        <v>115.61000000000001</v>
      </c>
      <c r="L43" s="136">
        <f>F43/304.83*100</f>
        <v>137.9260571466063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0"/>
        <v>44.74</v>
      </c>
      <c r="H44" s="137"/>
      <c r="I44" s="136">
        <f t="shared" si="1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0"/>
        <v>0.73</v>
      </c>
      <c r="H45" s="137"/>
      <c r="I45" s="136">
        <f t="shared" si="1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144">
        <v>3071.81</v>
      </c>
      <c r="G46" s="135">
        <f t="shared" si="0"/>
        <v>2991.81</v>
      </c>
      <c r="H46" s="137">
        <f>F46/E46*100</f>
        <v>3839.7625</v>
      </c>
      <c r="I46" s="136">
        <f t="shared" si="1"/>
        <v>2941.81</v>
      </c>
      <c r="J46" s="136">
        <f t="shared" si="6"/>
        <v>2362.9307692307693</v>
      </c>
      <c r="K46" s="136">
        <f>F46-46.16</f>
        <v>3025.65</v>
      </c>
      <c r="L46" s="136">
        <f>F46/46.16*100</f>
        <v>6654.701039861352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</f>
        <v>0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143">
        <v>1986.16</v>
      </c>
      <c r="G48" s="43">
        <f t="shared" si="0"/>
        <v>6.160000000000082</v>
      </c>
      <c r="H48" s="35">
        <f>F48/E48*100</f>
        <v>100.3111111111111</v>
      </c>
      <c r="I48" s="50">
        <f t="shared" si="1"/>
        <v>-2213.84</v>
      </c>
      <c r="J48" s="50">
        <f>F48/D48*100</f>
        <v>47.28952380952381</v>
      </c>
      <c r="K48" s="50">
        <f>F48-1649.93</f>
        <v>336.23</v>
      </c>
      <c r="L48" s="50">
        <f>F48/1649.93*100</f>
        <v>120.37844029746717</v>
      </c>
      <c r="M48" s="35">
        <f>E48-травень!E48</f>
        <v>310</v>
      </c>
      <c r="N48" s="35">
        <f>F48-травень!F48</f>
        <v>158.2900000000002</v>
      </c>
      <c r="O48" s="47">
        <f t="shared" si="3"/>
        <v>-151.7099999999998</v>
      </c>
      <c r="P48" s="50">
        <f aca="true" t="shared" si="7" ref="P48:P53">N48/M48*100</f>
        <v>51.06129032258071</v>
      </c>
      <c r="Q48" s="50">
        <f>N48-277.38</f>
        <v>-119.0899999999998</v>
      </c>
      <c r="R48" s="126">
        <f>N48/277.38</f>
        <v>0.5706611868195263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469.7</v>
      </c>
      <c r="G51" s="135">
        <f t="shared" si="0"/>
        <v>469.7</v>
      </c>
      <c r="H51" s="137"/>
      <c r="I51" s="136">
        <f t="shared" si="1"/>
        <v>469.7</v>
      </c>
      <c r="J51" s="136"/>
      <c r="K51" s="136">
        <f>F51-290</f>
        <v>179.7</v>
      </c>
      <c r="L51" s="138">
        <f>F51/290*100</f>
        <v>161.9655172413793</v>
      </c>
      <c r="M51" s="137">
        <f>E51-травень!E51</f>
        <v>0</v>
      </c>
      <c r="N51" s="137">
        <f>F51-травень!F51</f>
        <v>36.80000000000001</v>
      </c>
      <c r="O51" s="138">
        <f t="shared" si="3"/>
        <v>36.80000000000001</v>
      </c>
      <c r="P51" s="136"/>
      <c r="Q51" s="50">
        <f>N51-64.93</f>
        <v>-28.129999999999995</v>
      </c>
      <c r="R51" s="126">
        <f>N51/64.93</f>
        <v>0.5667642076081936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143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F54-0.04</f>
        <v>-0.02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270640.19999999995</v>
      </c>
      <c r="F55" s="18">
        <f>F8+F33+F53+F54</f>
        <v>280362.81000000006</v>
      </c>
      <c r="G55" s="44">
        <f>F55-E55</f>
        <v>9722.610000000102</v>
      </c>
      <c r="H55" s="45">
        <f>F55/E55*100</f>
        <v>103.59244857194167</v>
      </c>
      <c r="I55" s="31">
        <f>F55-D55</f>
        <v>-249659.78999999992</v>
      </c>
      <c r="J55" s="31">
        <f>F55/D55*100</f>
        <v>52.896387814406424</v>
      </c>
      <c r="K55" s="31">
        <f>K8+K33+K53+K54</f>
        <v>79351.39000000003</v>
      </c>
      <c r="L55" s="31">
        <f>(K55/(F55+K55))*100</f>
        <v>22.05956562181866</v>
      </c>
      <c r="M55" s="18">
        <f>M8+M33+M53+M54</f>
        <v>41940.89999999999</v>
      </c>
      <c r="N55" s="18">
        <f>N8+N33+N53+N54</f>
        <v>14628.640000000021</v>
      </c>
      <c r="O55" s="49">
        <f>N55-M55</f>
        <v>-27312.259999999966</v>
      </c>
      <c r="P55" s="31">
        <f>N55/M55*100</f>
        <v>34.87917522036968</v>
      </c>
      <c r="Q55" s="31">
        <f>N55-34768</f>
        <v>-20139.35999999998</v>
      </c>
      <c r="R55" s="171">
        <f>N55/34768</f>
        <v>0.4207501150483209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-27.69</v>
      </c>
      <c r="G61" s="43">
        <f aca="true" t="shared" si="8" ref="G61:G68">F61-E61</f>
        <v>-27.69</v>
      </c>
      <c r="H61" s="35"/>
      <c r="I61" s="53">
        <f aca="true" t="shared" si="9" ref="I61:I68">F61-D61</f>
        <v>-27.69</v>
      </c>
      <c r="J61" s="53"/>
      <c r="K61" s="47">
        <f>F61-119.54</f>
        <v>-147.23000000000002</v>
      </c>
      <c r="L61" s="53"/>
      <c r="M61" s="35">
        <v>0</v>
      </c>
      <c r="N61" s="36">
        <f>F61-травень!F61</f>
        <v>-8.3</v>
      </c>
      <c r="O61" s="47">
        <f aca="true" t="shared" si="10" ref="O61:O68">N61-M61</f>
        <v>-8.3</v>
      </c>
      <c r="P61" s="53"/>
      <c r="Q61" s="53">
        <f>N61-24.53</f>
        <v>-32.83</v>
      </c>
      <c r="R61" s="129">
        <f>N61/24.53</f>
        <v>-0.3383611903791276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-27.69</v>
      </c>
      <c r="G62" s="55">
        <f t="shared" si="8"/>
        <v>-27.69</v>
      </c>
      <c r="H62" s="65"/>
      <c r="I62" s="54">
        <f t="shared" si="9"/>
        <v>-27.69</v>
      </c>
      <c r="J62" s="54"/>
      <c r="K62" s="54">
        <f>K60+K61</f>
        <v>-146.13000000000002</v>
      </c>
      <c r="L62" s="54"/>
      <c r="M62" s="55">
        <f>M61</f>
        <v>0</v>
      </c>
      <c r="N62" s="33">
        <f>SUM(N60:N61)</f>
        <v>-8.3</v>
      </c>
      <c r="O62" s="54">
        <f t="shared" si="10"/>
        <v>-8.3</v>
      </c>
      <c r="P62" s="54"/>
      <c r="Q62" s="54">
        <f>N62-92.85</f>
        <v>-101.14999999999999</v>
      </c>
      <c r="R62" s="130">
        <f>N62/92.85</f>
        <v>-0.0893914916532041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193.97</v>
      </c>
      <c r="G64" s="43">
        <f t="shared" si="8"/>
        <v>-206.03</v>
      </c>
      <c r="H64" s="35"/>
      <c r="I64" s="53">
        <f t="shared" si="9"/>
        <v>-2306.03</v>
      </c>
      <c r="J64" s="53">
        <f t="shared" si="11"/>
        <v>7.758800000000001</v>
      </c>
      <c r="K64" s="53">
        <f>F64-1611.93</f>
        <v>-1417.96</v>
      </c>
      <c r="L64" s="53">
        <f>F64/1611.93*100</f>
        <v>12.033400954135725</v>
      </c>
      <c r="M64" s="35">
        <f>E64-травень!E64</f>
        <v>0</v>
      </c>
      <c r="N64" s="35">
        <f>F64-травень!F64</f>
        <v>0.009999999999990905</v>
      </c>
      <c r="O64" s="47">
        <f t="shared" si="10"/>
        <v>0.009999999999990905</v>
      </c>
      <c r="P64" s="53"/>
      <c r="Q64" s="53">
        <f>N64-0.04</f>
        <v>-0.030000000000009096</v>
      </c>
      <c r="R64" s="129">
        <f>N64/0.04</f>
        <v>0.24999999999977263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146">
        <v>2467.51</v>
      </c>
      <c r="G65" s="43">
        <f t="shared" si="8"/>
        <v>-32.1899999999996</v>
      </c>
      <c r="H65" s="35">
        <f>F65/E65*100</f>
        <v>98.71224546945635</v>
      </c>
      <c r="I65" s="53">
        <f t="shared" si="9"/>
        <v>-9108.49</v>
      </c>
      <c r="J65" s="53">
        <f t="shared" si="11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E65-травень!E65</f>
        <v>436.03999999999996</v>
      </c>
      <c r="N65" s="35">
        <f>F65-травень!F65</f>
        <v>0</v>
      </c>
      <c r="O65" s="47">
        <f t="shared" si="10"/>
        <v>-436.03999999999996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146">
        <v>1668.42</v>
      </c>
      <c r="G66" s="43">
        <f t="shared" si="8"/>
        <v>927.9200000000001</v>
      </c>
      <c r="H66" s="35">
        <f>F66/E66*100</f>
        <v>225.30992572586092</v>
      </c>
      <c r="I66" s="53">
        <f t="shared" si="9"/>
        <v>-1331.58</v>
      </c>
      <c r="J66" s="53">
        <f t="shared" si="11"/>
        <v>55.614000000000004</v>
      </c>
      <c r="K66" s="53">
        <f>F66-700.79</f>
        <v>967.6300000000001</v>
      </c>
      <c r="L66" s="53">
        <f>F66/700.79*100</f>
        <v>238.0770273548424</v>
      </c>
      <c r="M66" s="35">
        <f>E66-травень!E66</f>
        <v>148.10000000000002</v>
      </c>
      <c r="N66" s="35">
        <f>F66-травень!F66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145">
        <f>F64+F65+F66</f>
        <v>4329.9</v>
      </c>
      <c r="G67" s="55">
        <f t="shared" si="8"/>
        <v>689.6999999999998</v>
      </c>
      <c r="H67" s="65">
        <f>F67/E67*100</f>
        <v>118.94676116696886</v>
      </c>
      <c r="I67" s="54">
        <f t="shared" si="9"/>
        <v>-12746.1</v>
      </c>
      <c r="J67" s="54">
        <f t="shared" si="11"/>
        <v>25.356640899508083</v>
      </c>
      <c r="K67" s="54">
        <f>K64+K65+K66</f>
        <v>-53.56999999999971</v>
      </c>
      <c r="L67" s="54"/>
      <c r="M67" s="55">
        <f>M64+M65+M66</f>
        <v>584.14</v>
      </c>
      <c r="N67" s="55">
        <f>N64+N65+N66</f>
        <v>0.2300000000000182</v>
      </c>
      <c r="O67" s="54">
        <f t="shared" si="10"/>
        <v>-583.91</v>
      </c>
      <c r="P67" s="54">
        <f>N67/M67*100</f>
        <v>0.03937412264183555</v>
      </c>
      <c r="Q67" s="54">
        <f>N67-7985.28</f>
        <v>-7985.049999999999</v>
      </c>
      <c r="R67" s="173">
        <f>N67/7985.28</f>
        <v>2.880299751543067E-05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F68-10.71</f>
        <v>-10.71</v>
      </c>
      <c r="L68" s="53">
        <f>F68/10.71*100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E70-травень!E70</f>
        <v>0</v>
      </c>
      <c r="N70" s="35">
        <f>F70-травень!F70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145">
        <f>F68+F70+F69</f>
        <v>0.95</v>
      </c>
      <c r="G71" s="55">
        <f>F71-E71</f>
        <v>-23.05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3</v>
      </c>
      <c r="N71" s="55">
        <f>N68+N70+N69</f>
        <v>0</v>
      </c>
      <c r="O71" s="54">
        <f>N71-M71</f>
        <v>-3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146">
        <v>14.05</v>
      </c>
      <c r="G72" s="43">
        <f>F72-E72</f>
        <v>-7.739999999999998</v>
      </c>
      <c r="H72" s="35">
        <f>F72/E72*100</f>
        <v>64.47911886186326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E72-травень!E72</f>
        <v>8</v>
      </c>
      <c r="N72" s="35">
        <f>F72-травень!F72</f>
        <v>0</v>
      </c>
      <c r="O72" s="47">
        <f>N72-M72</f>
        <v>-8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7">
        <f>F62+F72+F67+F71+F73</f>
        <v>4317.409999999999</v>
      </c>
      <c r="G74" s="44">
        <f>F74-E74</f>
        <v>631.4199999999992</v>
      </c>
      <c r="H74" s="45">
        <f>F74/E74*100</f>
        <v>117.13026893724614</v>
      </c>
      <c r="I74" s="31">
        <f>F74-D74</f>
        <v>-12854.59</v>
      </c>
      <c r="J74" s="31">
        <f>F74/D74*100</f>
        <v>25.142150011646862</v>
      </c>
      <c r="K74" s="31">
        <f>K62+K67+K71+K72</f>
        <v>-226.35999999999973</v>
      </c>
      <c r="L74" s="31"/>
      <c r="M74" s="27">
        <f>M62+M72+M67+M71</f>
        <v>595.14</v>
      </c>
      <c r="N74" s="27">
        <f>N62+N72+N67+N71+N73</f>
        <v>-8.069999999999983</v>
      </c>
      <c r="O74" s="31">
        <f>N74-M74</f>
        <v>-603.2099999999999</v>
      </c>
      <c r="P74" s="31">
        <f>N74/M74*100</f>
        <v>-1.3559834660752061</v>
      </c>
      <c r="Q74" s="31">
        <f>N74-8104.96</f>
        <v>-8113.03</v>
      </c>
      <c r="R74" s="127">
        <f>N74/8104.96</f>
        <v>-0.000995686591914085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274326.18999999994</v>
      </c>
      <c r="F75" s="27">
        <f>F55+F74</f>
        <v>284680.22000000003</v>
      </c>
      <c r="G75" s="44">
        <f>F75-E75</f>
        <v>10354.030000000086</v>
      </c>
      <c r="H75" s="45">
        <f>F75/E75*100</f>
        <v>103.77434979868312</v>
      </c>
      <c r="I75" s="31">
        <f>F75-D75</f>
        <v>-262514.37999999995</v>
      </c>
      <c r="J75" s="31">
        <f>F75/D75*100</f>
        <v>52.025407414473754</v>
      </c>
      <c r="K75" s="31">
        <f>K55+K74</f>
        <v>79125.03000000003</v>
      </c>
      <c r="L75" s="31"/>
      <c r="M75" s="18">
        <f>M55+M74</f>
        <v>42536.039999999986</v>
      </c>
      <c r="N75" s="18">
        <f>N55+N74</f>
        <v>14620.570000000022</v>
      </c>
      <c r="O75" s="31">
        <f>N75-M75</f>
        <v>-27915.469999999965</v>
      </c>
      <c r="P75" s="31">
        <f>N75/M75*100</f>
        <v>34.37219355633488</v>
      </c>
      <c r="Q75" s="31">
        <f>N75-42872.96</f>
        <v>-28252.389999999978</v>
      </c>
      <c r="R75" s="127">
        <f>N75/42872.96</f>
        <v>0.3410207739330343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14</v>
      </c>
      <c r="D77" s="4" t="s">
        <v>118</v>
      </c>
    </row>
    <row r="78" spans="2:17" ht="31.5">
      <c r="B78" s="71" t="s">
        <v>154</v>
      </c>
      <c r="C78" s="34">
        <f>IF(O55&lt;0,ABS(O55/C77),0)</f>
        <v>1950.8757142857119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42164</v>
      </c>
      <c r="D79" s="34">
        <v>1767.7</v>
      </c>
      <c r="N79" s="232"/>
      <c r="O79" s="232"/>
    </row>
    <row r="80" spans="3:15" ht="15.75">
      <c r="C80" s="111">
        <v>42163</v>
      </c>
      <c r="D80" s="34">
        <v>2110.9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42160</v>
      </c>
      <c r="D81" s="34">
        <v>5402.9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155776.58054</v>
      </c>
      <c r="E83" s="73"/>
      <c r="F83" s="156" t="s">
        <v>147</v>
      </c>
      <c r="G83" s="238" t="s">
        <v>149</v>
      </c>
      <c r="H83" s="238"/>
      <c r="I83" s="107">
        <v>146866.84832999998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432.9</v>
      </c>
      <c r="G51" s="135">
        <f t="shared" si="7"/>
        <v>432.9</v>
      </c>
      <c r="H51" s="137"/>
      <c r="I51" s="136">
        <f t="shared" si="8"/>
        <v>432.9</v>
      </c>
      <c r="J51" s="136"/>
      <c r="K51" s="136">
        <f>F51-290</f>
        <v>142.89999999999998</v>
      </c>
      <c r="L51" s="138">
        <f>F51/290*100</f>
        <v>149.2758620689655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(K55/(F55+K55))*100</f>
        <v>19.58595754938715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/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2"/>
      <c r="O79" s="232"/>
    </row>
    <row r="80" spans="3:15" ht="15.75">
      <c r="C80" s="111">
        <v>42152</v>
      </c>
      <c r="D80" s="34">
        <v>5845.4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42151</v>
      </c>
      <c r="D81" s="34">
        <v>3158.7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153606.78</v>
      </c>
      <c r="E83" s="73"/>
      <c r="F83" s="156" t="s">
        <v>147</v>
      </c>
      <c r="G83" s="238" t="s">
        <v>149</v>
      </c>
      <c r="H83" s="238"/>
      <c r="I83" s="107">
        <v>144697.05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0" t="s">
        <v>161</v>
      </c>
      <c r="K104" s="250"/>
      <c r="L104" s="250"/>
      <c r="M104" s="250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16"/>
      <c r="N4" s="235" t="s">
        <v>194</v>
      </c>
      <c r="O4" s="254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7"/>
      <c r="I5" s="255"/>
      <c r="J5" s="253"/>
      <c r="K5" s="221" t="s">
        <v>188</v>
      </c>
      <c r="L5" s="222"/>
      <c r="M5" s="217"/>
      <c r="N5" s="236"/>
      <c r="O5" s="255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0" t="s">
        <v>161</v>
      </c>
      <c r="K139" s="250"/>
      <c r="L139" s="250"/>
      <c r="M139" s="250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2015-06-10T08:50:30Z</cp:lastPrinted>
  <dcterms:created xsi:type="dcterms:W3CDTF">2003-07-28T11:27:56Z</dcterms:created>
  <dcterms:modified xsi:type="dcterms:W3CDTF">2015-06-10T08:58:41Z</dcterms:modified>
  <cp:category/>
  <cp:version/>
  <cp:contentType/>
  <cp:contentStatus/>
</cp:coreProperties>
</file>